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30" windowWidth="19320" windowHeight="12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<sst xmlns="http://schemas.openxmlformats.org/spreadsheetml/2006/main" count="145" uniqueCount="140">
  <si>
    <t>Total PE &amp; Athletics</t>
  </si>
  <si>
    <t>APPLIED TECH DIV OFF</t>
  </si>
  <si>
    <t>MCNC</t>
  </si>
  <si>
    <t>AUTOMOTIVE TECHNOLGY</t>
  </si>
  <si>
    <t>BIO HLTH SCIENCE DIV</t>
  </si>
  <si>
    <t>BIOLOGY DEPARTMENT</t>
  </si>
  <si>
    <t>HEALTH TECHNOLOGY</t>
  </si>
  <si>
    <t>NURSING PROGRAM</t>
  </si>
  <si>
    <t>ENVIRONMENTL STUDIES</t>
  </si>
  <si>
    <t>CO-OP ED</t>
  </si>
  <si>
    <t>WORKFORCE</t>
  </si>
  <si>
    <t>MED LAB TECH PROGRAM</t>
  </si>
  <si>
    <t>LANG ARTS DIV OFFICE</t>
  </si>
  <si>
    <t>LANGUAGE ARTS-GEN'L</t>
  </si>
  <si>
    <t>LANG ARTS GENERAL</t>
  </si>
  <si>
    <t>ENGLISH SECOND LANG</t>
  </si>
  <si>
    <t>SPEECH</t>
  </si>
  <si>
    <t>PFE-TEST READERS</t>
  </si>
  <si>
    <t>PFE-COMM/CURRICULUM</t>
  </si>
  <si>
    <t xml:space="preserve">COMPUTER WRITE LAB </t>
  </si>
  <si>
    <t>READING PROGRAM</t>
  </si>
  <si>
    <t>LA VOZ</t>
  </si>
  <si>
    <t>TECH COMMINICATIONS</t>
  </si>
  <si>
    <t xml:space="preserve">Vacant Position </t>
  </si>
  <si>
    <t>PUBLICATION &amp; DESIGN</t>
  </si>
  <si>
    <t>Total Language Arts</t>
  </si>
  <si>
    <t>LIBRARY SERVICES</t>
  </si>
  <si>
    <t>DISTANCE LEARNING</t>
  </si>
  <si>
    <t>STUDENT SUCCESS CENTER</t>
  </si>
  <si>
    <t>STUDENT SUCCESS CENTER</t>
  </si>
  <si>
    <t>CRP-SKILLS</t>
  </si>
  <si>
    <t>CRP-READING -</t>
  </si>
  <si>
    <t>CRP-ESL -</t>
  </si>
  <si>
    <t>Total Learning Resources</t>
  </si>
  <si>
    <t>SOCIAL SCI DIV OFFIC</t>
  </si>
  <si>
    <t>SOCIAL SCI GEN'L A/C</t>
  </si>
  <si>
    <t>SOCIAL SCI GENERAL</t>
  </si>
  <si>
    <t>HUMANITIES</t>
  </si>
  <si>
    <t>CALIF HISTORY PROGRM</t>
  </si>
  <si>
    <t>CA HISTORY PROGRAM</t>
  </si>
  <si>
    <t>HISTORY</t>
  </si>
  <si>
    <t>PSYCHOLOGY</t>
  </si>
  <si>
    <t>ANTHROPOLOGY</t>
  </si>
  <si>
    <t>SOCIOLOGY</t>
  </si>
  <si>
    <t>POLITICAL SCIENCE</t>
  </si>
  <si>
    <t>PHILOSOPHY</t>
  </si>
  <si>
    <t>PARALEGAL PROGRAM</t>
  </si>
  <si>
    <t>ARTS &amp; LECTURES</t>
  </si>
  <si>
    <t>EARLY CHILDHOOD DEV</t>
  </si>
  <si>
    <t>GEOGRAPHY</t>
  </si>
  <si>
    <t>ECONOMICS</t>
  </si>
  <si>
    <t>ADMIN OF JUSTICE</t>
  </si>
  <si>
    <t>Total SS &amp; Humanities</t>
  </si>
  <si>
    <t>ADOPTED</t>
  </si>
  <si>
    <t>PROJECTED</t>
  </si>
  <si>
    <t>TOTAL</t>
  </si>
  <si>
    <t>ACCT NAME</t>
  </si>
  <si>
    <t>A BUDGET</t>
  </si>
  <si>
    <t>B BUDGET</t>
  </si>
  <si>
    <t>1320+BENE</t>
  </si>
  <si>
    <t>A,B &amp; 1320</t>
  </si>
  <si>
    <t>SCHEDULING</t>
  </si>
  <si>
    <t>CURRICULUM SUPPORT</t>
  </si>
  <si>
    <t>FACULTY ORIENTATION</t>
  </si>
  <si>
    <t>PART-TIME FACULTY</t>
  </si>
  <si>
    <t>ACADEMIC SERVICES</t>
  </si>
  <si>
    <t>ACADEMIC SENATE</t>
  </si>
  <si>
    <t>CLASSIFIED SENATE</t>
  </si>
  <si>
    <t>STAFF &amp; ORGANIZ DEV</t>
  </si>
  <si>
    <t>PFE-CURRIC SPECIALST</t>
  </si>
  <si>
    <t>DIVERSITY &amp; EQUITY</t>
  </si>
  <si>
    <t>DIVERSITY STIPEND</t>
  </si>
  <si>
    <t>LINC PROGRAM</t>
  </si>
  <si>
    <t>PROFESS CONFERENCE</t>
  </si>
  <si>
    <t>Total Academic Service</t>
  </si>
  <si>
    <t>CREATIVE ARTS DIV</t>
  </si>
  <si>
    <t>CREATIVE ART GEN'L</t>
  </si>
  <si>
    <t>EUPHRAT GALLERY</t>
  </si>
  <si>
    <t>ART HISTORY</t>
  </si>
  <si>
    <t>GEN'L ARTS COURSES</t>
  </si>
  <si>
    <t>CERAMICS</t>
  </si>
  <si>
    <t>COMP GRAPHICS/DESIGN</t>
  </si>
  <si>
    <t>SCULPTURE PROG</t>
  </si>
  <si>
    <t>ANIMATION</t>
  </si>
  <si>
    <t>DANCE - THEATRE</t>
  </si>
  <si>
    <t>FILM PRODUCTION</t>
  </si>
  <si>
    <t>GEN'L MUSIC COURSES</t>
  </si>
  <si>
    <t>INSTRUMENTAL MUSIC</t>
  </si>
  <si>
    <t>WORLD MUSIC</t>
  </si>
  <si>
    <t>CHORAL PROGRAM</t>
  </si>
  <si>
    <t>ORCHESTRA PROGRAM</t>
  </si>
  <si>
    <t>ELECTRONIC MUSIC</t>
  </si>
  <si>
    <t>PHOTOGRAPHY PROGRAM</t>
  </si>
  <si>
    <t>Total Creative Arts</t>
  </si>
  <si>
    <t>BUSINESS DIV OFFICE</t>
  </si>
  <si>
    <t>BUS GENERAL COURSES</t>
  </si>
  <si>
    <t>COMP INFO SYS-GEN'L</t>
  </si>
  <si>
    <t>BUSINESS ACCOUNTING</t>
  </si>
  <si>
    <t>COMPUTER APPLICATION</t>
  </si>
  <si>
    <t>DATA PROCESSING</t>
  </si>
  <si>
    <t>CAD/DIGITAL IMAGING</t>
  </si>
  <si>
    <t>REAL ESTATE PROGRAM</t>
  </si>
  <si>
    <t>Total Bus/CS</t>
  </si>
  <si>
    <t>INTERNATIONL STUDIES</t>
  </si>
  <si>
    <t>INTERCULTURAL GEN'L</t>
  </si>
  <si>
    <t>INTERCULTURAL STUDIES</t>
  </si>
  <si>
    <t>WOMEN'S STUDIES</t>
  </si>
  <si>
    <t>Total IIS</t>
  </si>
  <si>
    <t>PHYS SCI &amp; MATH DIV</t>
  </si>
  <si>
    <t>CHEMISTRY PROGRAM</t>
  </si>
  <si>
    <t>PHYSICS</t>
  </si>
  <si>
    <t>MATHEMATICS</t>
  </si>
  <si>
    <t>DA-PLANETARIUM</t>
  </si>
  <si>
    <t>MATH PERF SUCCESS</t>
  </si>
  <si>
    <t>GEOLOGY</t>
  </si>
  <si>
    <t>ASTRONOMY</t>
  </si>
  <si>
    <t>METEOROLOGY</t>
  </si>
  <si>
    <t>TRANSFER ENGINEERING</t>
  </si>
  <si>
    <t>PHYSICAL EDUCATION</t>
  </si>
  <si>
    <t>P E COURSES</t>
  </si>
  <si>
    <t>Total PE</t>
  </si>
  <si>
    <t>ATHLETICS GEN'L</t>
  </si>
  <si>
    <t>SOCCER PROGRAM</t>
  </si>
  <si>
    <t>BASEBALL PROGRAM</t>
  </si>
  <si>
    <t>MEN'S BSKTBALL PRGM</t>
  </si>
  <si>
    <t>WOMEN'S BASKETBALL</t>
  </si>
  <si>
    <t>FOOTBALL PROGRAM</t>
  </si>
  <si>
    <t>MEN'S SWIM'G &amp; DIV'G</t>
  </si>
  <si>
    <t>WM'S SWIM/DIVING</t>
  </si>
  <si>
    <t>MEN'S TENNIS</t>
  </si>
  <si>
    <t>MEN'S X-CTRY</t>
  </si>
  <si>
    <t>WM'S X-COUNTRY</t>
  </si>
  <si>
    <t>WOMEN'S SOFTBALL</t>
  </si>
  <si>
    <t>WOMEN'S TENNIS</t>
  </si>
  <si>
    <t>MEN'S TRACK &amp; FIELD</t>
  </si>
  <si>
    <t>WMN'S TRACK &amp; FIELD</t>
  </si>
  <si>
    <t>WOMEN'S VOLLEYBALL</t>
  </si>
  <si>
    <t>WOMEN'S SOCCER</t>
  </si>
  <si>
    <t>Total Athletics</t>
  </si>
  <si>
    <t>Academic Services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</si>
</sst>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1"/>
      <name val="Geneva"/>
      <family val="0"/>
    </font>
    <font>
      <sz val="11"/>
      <color indexed="10"/>
      <name val="Geneva"/>
      <family val="0"/>
    </font>
    <font>
      <b/>
      <sz val="11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39" fontId="3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39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39" fontId="3" fillId="0" borderId="0" xfId="0" applyNumberFormat="1" applyFont="1" applyBorder="1" applyAlignment="1" applyProtection="1">
      <alignment/>
      <protection locked="0"/>
    </xf>
    <xf numFmtId="39" fontId="3" fillId="0" borderId="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39" fontId="3" fillId="0" borderId="10" xfId="0" applyNumberFormat="1" applyFont="1" applyBorder="1" applyAlignment="1" applyProtection="1">
      <alignment/>
      <protection locked="0"/>
    </xf>
    <xf numFmtId="39" fontId="3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" fontId="3" fillId="24" borderId="0" xfId="0" applyNumberFormat="1" applyFont="1" applyFill="1" applyAlignment="1" applyProtection="1">
      <alignment/>
      <protection locked="0"/>
    </xf>
    <xf numFmtId="4" fontId="3" fillId="24" borderId="11" xfId="0" applyNumberFormat="1" applyFont="1" applyFill="1" applyBorder="1" applyAlignment="1" applyProtection="1">
      <alignment/>
      <protection locked="0"/>
    </xf>
    <xf numFmtId="39" fontId="4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39" fontId="5" fillId="0" borderId="0" xfId="0" applyNumberFormat="1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39" fontId="5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39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/>
      <protection locked="0"/>
    </xf>
    <xf numFmtId="0" fontId="3" fillId="25" borderId="0" xfId="0" applyNumberFormat="1" applyFont="1" applyFill="1" applyAlignment="1" applyProtection="1">
      <alignment/>
      <protection locked="0"/>
    </xf>
    <xf numFmtId="4" fontId="3" fillId="25" borderId="0" xfId="0" applyNumberFormat="1" applyFont="1" applyFill="1" applyBorder="1" applyAlignment="1" applyProtection="1">
      <alignment/>
      <protection locked="0"/>
    </xf>
    <xf numFmtId="0" fontId="0" fillId="25" borderId="0" xfId="0" applyFill="1" applyAlignment="1">
      <alignment/>
    </xf>
    <xf numFmtId="0" fontId="5" fillId="25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PageLayoutView="0" workbookViewId="0" topLeftCell="A164">
      <selection activeCell="A75" sqref="A75"/>
    </sheetView>
  </sheetViews>
  <sheetFormatPr defaultColWidth="11.00390625" defaultRowHeight="12.75"/>
  <cols>
    <col min="1" max="1" width="21.625" style="0" customWidth="1"/>
    <col min="2" max="2" width="13.75390625" style="0" customWidth="1"/>
    <col min="3" max="3" width="10.625" style="0" customWidth="1"/>
    <col min="4" max="4" width="13.75390625" style="0" customWidth="1"/>
    <col min="5" max="5" width="16.25390625" style="0" customWidth="1"/>
  </cols>
  <sheetData>
    <row r="1" spans="1:5" ht="15">
      <c r="A1" s="18"/>
      <c r="B1" s="19" t="s">
        <v>53</v>
      </c>
      <c r="C1" s="20" t="s">
        <v>53</v>
      </c>
      <c r="D1" s="20" t="s">
        <v>54</v>
      </c>
      <c r="E1" s="20" t="s">
        <v>55</v>
      </c>
    </row>
    <row r="2" spans="1:5" ht="15">
      <c r="A2" s="21" t="s">
        <v>56</v>
      </c>
      <c r="B2" s="22" t="s">
        <v>57</v>
      </c>
      <c r="C2" s="23" t="s">
        <v>58</v>
      </c>
      <c r="D2" s="23" t="s">
        <v>59</v>
      </c>
      <c r="E2" s="23" t="s">
        <v>60</v>
      </c>
    </row>
    <row r="3" spans="1:5" ht="15">
      <c r="A3" s="24"/>
      <c r="B3" s="25"/>
      <c r="C3" s="26"/>
      <c r="D3" s="26"/>
      <c r="E3" s="26"/>
    </row>
    <row r="4" spans="1:5" ht="15">
      <c r="A4" s="24" t="s">
        <v>139</v>
      </c>
      <c r="B4" s="25"/>
      <c r="C4" s="26"/>
      <c r="D4" s="26"/>
      <c r="E4" s="26"/>
    </row>
    <row r="5" spans="1:5" ht="14.25">
      <c r="A5" s="1" t="s">
        <v>61</v>
      </c>
      <c r="B5" s="2">
        <v>336911</v>
      </c>
      <c r="C5" s="3">
        <v>5000</v>
      </c>
      <c r="D5" s="3"/>
      <c r="E5" s="3">
        <f aca="true" t="shared" si="0" ref="E5:E17">+B5+C5+D5</f>
        <v>341911</v>
      </c>
    </row>
    <row r="6" spans="1:5" ht="14.25">
      <c r="A6" s="1" t="s">
        <v>62</v>
      </c>
      <c r="B6" s="2">
        <v>119249</v>
      </c>
      <c r="C6" s="3"/>
      <c r="D6" s="3"/>
      <c r="E6" s="3">
        <f t="shared" si="0"/>
        <v>119249</v>
      </c>
    </row>
    <row r="7" spans="1:5" ht="14.25">
      <c r="A7" s="1" t="s">
        <v>63</v>
      </c>
      <c r="B7" s="2"/>
      <c r="C7" s="3">
        <v>2100</v>
      </c>
      <c r="D7" s="3"/>
      <c r="E7" s="3">
        <f t="shared" si="0"/>
        <v>2100</v>
      </c>
    </row>
    <row r="8" spans="1:5" ht="14.25">
      <c r="A8" s="1" t="s">
        <v>64</v>
      </c>
      <c r="B8" s="2"/>
      <c r="C8" s="3">
        <v>7000</v>
      </c>
      <c r="D8" s="3"/>
      <c r="E8" s="3">
        <f t="shared" si="0"/>
        <v>7000</v>
      </c>
    </row>
    <row r="9" spans="1:5" ht="14.25">
      <c r="A9" s="1" t="s">
        <v>65</v>
      </c>
      <c r="B9" s="2">
        <v>219349</v>
      </c>
      <c r="C9" s="3">
        <v>9422</v>
      </c>
      <c r="D9" s="3"/>
      <c r="E9" s="3">
        <f t="shared" si="0"/>
        <v>228771</v>
      </c>
    </row>
    <row r="10" spans="1:5" ht="14.25">
      <c r="A10" s="1" t="s">
        <v>66</v>
      </c>
      <c r="B10" s="2"/>
      <c r="C10" s="3">
        <v>13000</v>
      </c>
      <c r="D10" s="3"/>
      <c r="E10" s="3">
        <f t="shared" si="0"/>
        <v>13000</v>
      </c>
    </row>
    <row r="11" spans="1:5" ht="14.25">
      <c r="A11" s="1" t="s">
        <v>67</v>
      </c>
      <c r="B11" s="2"/>
      <c r="C11" s="3">
        <v>7000</v>
      </c>
      <c r="D11" s="3"/>
      <c r="E11" s="3">
        <f t="shared" si="0"/>
        <v>7000</v>
      </c>
    </row>
    <row r="12" spans="1:5" ht="14.25">
      <c r="A12" s="1" t="s">
        <v>68</v>
      </c>
      <c r="B12" s="2">
        <v>278286</v>
      </c>
      <c r="C12" s="3">
        <v>3676</v>
      </c>
      <c r="D12" s="3"/>
      <c r="E12" s="3">
        <f t="shared" si="0"/>
        <v>281962</v>
      </c>
    </row>
    <row r="13" spans="1:5" ht="14.25">
      <c r="A13" s="1" t="s">
        <v>69</v>
      </c>
      <c r="B13" s="2"/>
      <c r="C13" s="3">
        <v>0</v>
      </c>
      <c r="D13" s="3"/>
      <c r="E13" s="3">
        <f t="shared" si="0"/>
        <v>0</v>
      </c>
    </row>
    <row r="14" spans="1:5" ht="14.25">
      <c r="A14" s="4" t="s">
        <v>70</v>
      </c>
      <c r="B14" s="5"/>
      <c r="C14" s="6">
        <v>0</v>
      </c>
      <c r="D14" s="6"/>
      <c r="E14" s="3">
        <f t="shared" si="0"/>
        <v>0</v>
      </c>
    </row>
    <row r="15" spans="1:5" ht="14.25">
      <c r="A15" s="4" t="s">
        <v>70</v>
      </c>
      <c r="B15" s="5">
        <v>112480</v>
      </c>
      <c r="C15" s="6"/>
      <c r="D15" s="6"/>
      <c r="E15" s="3">
        <f t="shared" si="0"/>
        <v>112480</v>
      </c>
    </row>
    <row r="16" spans="1:5" ht="14.25">
      <c r="A16" s="4" t="s">
        <v>71</v>
      </c>
      <c r="B16" s="7">
        <v>0</v>
      </c>
      <c r="C16" s="8"/>
      <c r="D16" s="8"/>
      <c r="E16" s="9">
        <f t="shared" si="0"/>
        <v>0</v>
      </c>
    </row>
    <row r="17" spans="1:5" ht="14.25">
      <c r="A17" s="4" t="s">
        <v>72</v>
      </c>
      <c r="B17" s="7"/>
      <c r="C17" s="8"/>
      <c r="D17" s="8">
        <f>15498*1.14</f>
        <v>17667.719999999998</v>
      </c>
      <c r="E17" s="9">
        <f t="shared" si="0"/>
        <v>17667.719999999998</v>
      </c>
    </row>
    <row r="18" spans="1:5" ht="14.25">
      <c r="A18" s="4" t="s">
        <v>73</v>
      </c>
      <c r="B18" s="10"/>
      <c r="C18" s="11"/>
      <c r="D18" s="11">
        <f>642*1.14</f>
        <v>731.8799999999999</v>
      </c>
      <c r="E18" s="12">
        <f>+B18+C18+D18</f>
        <v>731.8799999999999</v>
      </c>
    </row>
    <row r="19" spans="1:5" ht="14.25">
      <c r="A19" s="4"/>
      <c r="B19" s="6">
        <f>SUM(B5:B18)</f>
        <v>1066275</v>
      </c>
      <c r="C19" s="6">
        <f>SUM(C5:C18)</f>
        <v>47198</v>
      </c>
      <c r="D19" s="6">
        <f>SUM(D5:D18)</f>
        <v>18399.6</v>
      </c>
      <c r="E19" s="6">
        <f>SUM(E5:E18)</f>
        <v>1131872.5999999999</v>
      </c>
    </row>
    <row r="20" spans="1:5" ht="14.25">
      <c r="A20" s="4"/>
      <c r="B20" s="6"/>
      <c r="C20" s="6"/>
      <c r="D20" s="6"/>
      <c r="E20" s="3"/>
    </row>
    <row r="21" spans="1:5" ht="14.25">
      <c r="A21" s="13" t="s">
        <v>72</v>
      </c>
      <c r="B21" s="10">
        <v>0</v>
      </c>
      <c r="C21" s="10">
        <v>31050</v>
      </c>
      <c r="D21" s="10">
        <v>0</v>
      </c>
      <c r="E21" s="10">
        <v>46549</v>
      </c>
    </row>
    <row r="22" spans="1:5" ht="14.25">
      <c r="A22" s="13" t="s">
        <v>74</v>
      </c>
      <c r="B22" s="14">
        <f>B21+B19</f>
        <v>1066275</v>
      </c>
      <c r="C22" s="14">
        <f>C21+C19</f>
        <v>78248</v>
      </c>
      <c r="D22" s="14">
        <f>D21+D19</f>
        <v>18399.6</v>
      </c>
      <c r="E22" s="14">
        <f>E21+E19</f>
        <v>1178421.5999999999</v>
      </c>
    </row>
    <row r="23" spans="1:5" ht="14.25">
      <c r="A23" s="4"/>
      <c r="B23" s="5"/>
      <c r="C23" s="6"/>
      <c r="D23" s="6"/>
      <c r="E23" s="6"/>
    </row>
    <row r="24" spans="1:5" ht="15">
      <c r="A24" s="27" t="s">
        <v>75</v>
      </c>
      <c r="B24" s="4">
        <v>270986</v>
      </c>
      <c r="C24" s="4">
        <v>19216</v>
      </c>
      <c r="D24" s="4"/>
      <c r="E24" s="4">
        <f aca="true" t="shared" si="1" ref="E24:E40">+B24+C24+D24</f>
        <v>290202</v>
      </c>
    </row>
    <row r="25" spans="1:5" ht="14.25">
      <c r="A25" s="4" t="s">
        <v>76</v>
      </c>
      <c r="B25" s="4"/>
      <c r="C25" s="4">
        <v>0</v>
      </c>
      <c r="D25" s="4"/>
      <c r="E25" s="4">
        <f t="shared" si="1"/>
        <v>0</v>
      </c>
    </row>
    <row r="26" spans="1:5" ht="14.25">
      <c r="A26" s="4" t="s">
        <v>77</v>
      </c>
      <c r="B26" s="4">
        <v>66388</v>
      </c>
      <c r="C26" s="4"/>
      <c r="D26" s="4"/>
      <c r="E26" s="4">
        <f t="shared" si="1"/>
        <v>66388</v>
      </c>
    </row>
    <row r="27" spans="1:5" ht="14.25">
      <c r="A27" s="4" t="s">
        <v>78</v>
      </c>
      <c r="B27" s="4">
        <v>243625</v>
      </c>
      <c r="C27" s="4">
        <v>3281</v>
      </c>
      <c r="D27" s="4"/>
      <c r="E27" s="4">
        <f t="shared" si="1"/>
        <v>246906</v>
      </c>
    </row>
    <row r="28" spans="1:5" ht="14.25">
      <c r="A28" s="4" t="s">
        <v>79</v>
      </c>
      <c r="B28" s="4">
        <v>112890</v>
      </c>
      <c r="C28" s="4">
        <v>3849</v>
      </c>
      <c r="D28" s="6">
        <f>(180464+234271)*1.14</f>
        <v>472797.89999999997</v>
      </c>
      <c r="E28" s="4">
        <f t="shared" si="1"/>
        <v>589536.8999999999</v>
      </c>
    </row>
    <row r="29" spans="1:5" ht="14.25">
      <c r="A29" s="4" t="s">
        <v>80</v>
      </c>
      <c r="B29" s="5">
        <v>128967</v>
      </c>
      <c r="C29" s="6"/>
      <c r="D29" s="6">
        <f>(11965+28859)*1.14</f>
        <v>46539.35999999999</v>
      </c>
      <c r="E29" s="3">
        <f t="shared" si="1"/>
        <v>175506.36</v>
      </c>
    </row>
    <row r="30" spans="1:5" ht="14.25">
      <c r="A30" s="4" t="s">
        <v>81</v>
      </c>
      <c r="B30" s="5">
        <v>298136</v>
      </c>
      <c r="C30" s="6">
        <v>4374</v>
      </c>
      <c r="D30" s="6">
        <f>3828*1.14</f>
        <v>4363.92</v>
      </c>
      <c r="E30" s="3">
        <f t="shared" si="1"/>
        <v>306873.92</v>
      </c>
    </row>
    <row r="31" spans="1:5" ht="14.25">
      <c r="A31" s="4" t="s">
        <v>82</v>
      </c>
      <c r="B31" s="5">
        <v>177774</v>
      </c>
      <c r="C31" s="6">
        <v>2010</v>
      </c>
      <c r="D31" s="6">
        <f>2434*1.14</f>
        <v>2774.7599999999998</v>
      </c>
      <c r="E31" s="3">
        <f t="shared" si="1"/>
        <v>182558.76</v>
      </c>
    </row>
    <row r="32" spans="1:5" ht="14.25">
      <c r="A32" s="4" t="s">
        <v>83</v>
      </c>
      <c r="B32" s="5">
        <v>112889</v>
      </c>
      <c r="C32" s="6"/>
      <c r="D32" s="6"/>
      <c r="E32" s="3">
        <f t="shared" si="1"/>
        <v>112889</v>
      </c>
    </row>
    <row r="33" spans="1:5" ht="14.25">
      <c r="A33" s="4" t="s">
        <v>84</v>
      </c>
      <c r="B33" s="5">
        <v>214176</v>
      </c>
      <c r="C33" s="6">
        <v>6561</v>
      </c>
      <c r="D33" s="6">
        <f>(56615+66239)*1.14</f>
        <v>140053.56</v>
      </c>
      <c r="E33" s="3">
        <f t="shared" si="1"/>
        <v>360790.56</v>
      </c>
    </row>
    <row r="34" spans="1:5" ht="14.25">
      <c r="A34" s="4" t="s">
        <v>85</v>
      </c>
      <c r="B34" s="5">
        <v>544206</v>
      </c>
      <c r="C34" s="6">
        <v>14750</v>
      </c>
      <c r="D34" s="6">
        <f>(130646+161957)*1.14</f>
        <v>333567.42</v>
      </c>
      <c r="E34" s="3">
        <f t="shared" si="1"/>
        <v>892523.4199999999</v>
      </c>
    </row>
    <row r="35" spans="1:5" ht="14.25">
      <c r="A35" s="4" t="s">
        <v>86</v>
      </c>
      <c r="B35" s="5">
        <v>349451</v>
      </c>
      <c r="C35" s="6">
        <v>1000</v>
      </c>
      <c r="D35" s="6">
        <f>(52989+58723)*1.14</f>
        <v>127351.68</v>
      </c>
      <c r="E35" s="3">
        <f t="shared" si="1"/>
        <v>477802.68</v>
      </c>
    </row>
    <row r="36" spans="1:5" ht="14.25">
      <c r="A36" s="4" t="s">
        <v>87</v>
      </c>
      <c r="B36" s="5">
        <v>130297</v>
      </c>
      <c r="C36" s="6">
        <v>2917</v>
      </c>
      <c r="D36" s="6">
        <f>(9929+16320)*1.14</f>
        <v>29923.859999999997</v>
      </c>
      <c r="E36" s="3">
        <f t="shared" si="1"/>
        <v>163137.86</v>
      </c>
    </row>
    <row r="37" spans="1:5" ht="14.25">
      <c r="A37" s="4" t="s">
        <v>88</v>
      </c>
      <c r="B37" s="5"/>
      <c r="C37" s="6">
        <v>0</v>
      </c>
      <c r="D37" s="6"/>
      <c r="E37" s="3">
        <f t="shared" si="1"/>
        <v>0</v>
      </c>
    </row>
    <row r="38" spans="1:5" ht="14.25">
      <c r="A38" s="4" t="s">
        <v>89</v>
      </c>
      <c r="B38" s="5">
        <v>115757</v>
      </c>
      <c r="C38" s="6"/>
      <c r="D38" s="6">
        <f>(11422+6399)*1.14</f>
        <v>20315.94</v>
      </c>
      <c r="E38" s="3">
        <f t="shared" si="1"/>
        <v>136072.94</v>
      </c>
    </row>
    <row r="39" spans="1:5" ht="14.25">
      <c r="A39" s="4" t="s">
        <v>90</v>
      </c>
      <c r="B39" s="5"/>
      <c r="C39" s="6"/>
      <c r="D39" s="6">
        <f>(7977+15645)*1.14</f>
        <v>26929.079999999998</v>
      </c>
      <c r="E39" s="3">
        <f t="shared" si="1"/>
        <v>26929.079999999998</v>
      </c>
    </row>
    <row r="40" spans="1:5" ht="14.25">
      <c r="A40" s="4" t="s">
        <v>91</v>
      </c>
      <c r="B40" s="5">
        <v>123213</v>
      </c>
      <c r="C40" s="6"/>
      <c r="D40" s="6"/>
      <c r="E40" s="3">
        <f t="shared" si="1"/>
        <v>123213</v>
      </c>
    </row>
    <row r="41" spans="1:5" ht="14.25">
      <c r="A41" s="4" t="s">
        <v>92</v>
      </c>
      <c r="B41" s="10">
        <v>304381</v>
      </c>
      <c r="C41" s="11">
        <v>8748</v>
      </c>
      <c r="D41" s="11">
        <f>(44268+57483)*1.14</f>
        <v>115996.13999999998</v>
      </c>
      <c r="E41" s="12">
        <f>+B41+C41+D41</f>
        <v>429125.14</v>
      </c>
    </row>
    <row r="42" spans="1:5" ht="14.25">
      <c r="A42" s="4" t="s">
        <v>93</v>
      </c>
      <c r="B42" s="14">
        <f>SUM(B24:B41)</f>
        <v>3193136</v>
      </c>
      <c r="C42" s="14">
        <f>SUM(C24:C41)</f>
        <v>66706</v>
      </c>
      <c r="D42" s="14">
        <f>SUM(D24:D41)</f>
        <v>1320613.6199999999</v>
      </c>
      <c r="E42" s="14">
        <f>SUM(E24:E41)</f>
        <v>4580455.619999999</v>
      </c>
    </row>
    <row r="43" spans="1:5" ht="14.25">
      <c r="A43" s="4"/>
      <c r="B43" s="5"/>
      <c r="C43" s="6"/>
      <c r="D43" s="6"/>
      <c r="E43" s="3"/>
    </row>
    <row r="44" spans="1:5" ht="14.25">
      <c r="A44" s="4"/>
      <c r="B44" s="5"/>
      <c r="C44" s="6"/>
      <c r="D44" s="6"/>
      <c r="E44" s="3"/>
    </row>
    <row r="45" spans="1:5" ht="14.25">
      <c r="A45" s="4"/>
      <c r="B45" s="5"/>
      <c r="C45" s="6"/>
      <c r="D45" s="6"/>
      <c r="E45" s="3"/>
    </row>
    <row r="46" spans="1:5" ht="14.25">
      <c r="A46" s="4"/>
      <c r="B46" s="5"/>
      <c r="C46" s="6"/>
      <c r="D46" s="6"/>
      <c r="E46" s="3"/>
    </row>
    <row r="47" spans="1:5" ht="15">
      <c r="A47" s="27" t="s">
        <v>94</v>
      </c>
      <c r="B47" s="5">
        <v>245349</v>
      </c>
      <c r="C47" s="6">
        <v>57255</v>
      </c>
      <c r="D47" s="6"/>
      <c r="E47" s="3">
        <f aca="true" t="shared" si="2" ref="E47:E52">+B47+C47+D47</f>
        <v>302604</v>
      </c>
    </row>
    <row r="48" spans="1:5" ht="14.25">
      <c r="A48" s="4" t="s">
        <v>95</v>
      </c>
      <c r="B48" s="5">
        <v>782059</v>
      </c>
      <c r="C48" s="6">
        <v>1000</v>
      </c>
      <c r="D48" s="6">
        <f>(181509+184158+616)*1.14</f>
        <v>417562.61999999994</v>
      </c>
      <c r="E48" s="3">
        <f t="shared" si="2"/>
        <v>1200621.6199999999</v>
      </c>
    </row>
    <row r="49" spans="1:5" ht="14.25">
      <c r="A49" s="4" t="s">
        <v>96</v>
      </c>
      <c r="B49" s="5">
        <v>1168756</v>
      </c>
      <c r="C49" s="6">
        <v>1000</v>
      </c>
      <c r="D49" s="6">
        <f>(147191+69292)*1.14</f>
        <v>246790.61999999997</v>
      </c>
      <c r="E49" s="3">
        <f t="shared" si="2"/>
        <v>1416546.6199999999</v>
      </c>
    </row>
    <row r="50" spans="1:5" ht="14.25">
      <c r="A50" s="4" t="s">
        <v>97</v>
      </c>
      <c r="B50" s="5">
        <v>655758</v>
      </c>
      <c r="C50" s="6">
        <v>1000</v>
      </c>
      <c r="D50" s="6">
        <f>(290535+316043)*1.14</f>
        <v>691498.9199999999</v>
      </c>
      <c r="E50" s="3">
        <f t="shared" si="2"/>
        <v>1348256.92</v>
      </c>
    </row>
    <row r="51" spans="1:5" ht="14.25">
      <c r="A51" s="4" t="s">
        <v>98</v>
      </c>
      <c r="B51" s="5">
        <v>567787</v>
      </c>
      <c r="C51" s="6">
        <v>5000</v>
      </c>
      <c r="D51" s="6">
        <f>(86782+117964)*1.14</f>
        <v>233410.43999999997</v>
      </c>
      <c r="E51" s="3">
        <f t="shared" si="2"/>
        <v>806197.44</v>
      </c>
    </row>
    <row r="52" spans="1:5" ht="14.25">
      <c r="A52" s="4" t="s">
        <v>99</v>
      </c>
      <c r="B52" s="5"/>
      <c r="C52" s="6">
        <v>5500</v>
      </c>
      <c r="D52" s="6"/>
      <c r="E52" s="3">
        <f t="shared" si="2"/>
        <v>5500</v>
      </c>
    </row>
    <row r="53" spans="1:5" ht="14.25">
      <c r="A53" s="4" t="s">
        <v>100</v>
      </c>
      <c r="B53" s="7">
        <v>323341</v>
      </c>
      <c r="C53" s="8">
        <v>4000</v>
      </c>
      <c r="D53" s="8">
        <f>(82149+81319)*1.14</f>
        <v>186353.52</v>
      </c>
      <c r="E53" s="9">
        <f>+B53+C53+D53</f>
        <v>513694.52</v>
      </c>
    </row>
    <row r="54" spans="1:5" ht="14.25">
      <c r="A54" s="4" t="s">
        <v>101</v>
      </c>
      <c r="B54" s="10"/>
      <c r="C54" s="11"/>
      <c r="D54" s="11">
        <f>(28951+33501)*1.14</f>
        <v>71195.28</v>
      </c>
      <c r="E54" s="12">
        <f>+B54+C54+D54</f>
        <v>71195.28</v>
      </c>
    </row>
    <row r="55" spans="1:5" ht="14.25">
      <c r="A55" s="4" t="s">
        <v>102</v>
      </c>
      <c r="B55" s="14">
        <f>SUBTOTAL(9,B47:B53)</f>
        <v>3743050</v>
      </c>
      <c r="C55" s="14">
        <f>SUBTOTAL(9,C47:C53)</f>
        <v>74755</v>
      </c>
      <c r="D55" s="14">
        <f>SUBTOTAL(9,D47:D54)</f>
        <v>1846811.3999999997</v>
      </c>
      <c r="E55" s="14">
        <f>SUBTOTAL(9,E47:E54)</f>
        <v>5664616.399999999</v>
      </c>
    </row>
    <row r="56" spans="1:5" ht="14.25">
      <c r="A56" s="4"/>
      <c r="B56" s="5"/>
      <c r="C56" s="6"/>
      <c r="D56" s="6"/>
      <c r="E56" s="3"/>
    </row>
    <row r="57" spans="1:5" ht="15">
      <c r="A57" s="31" t="s">
        <v>104</v>
      </c>
      <c r="B57" s="5">
        <v>279325</v>
      </c>
      <c r="C57" s="6">
        <v>9599</v>
      </c>
      <c r="D57" s="6"/>
      <c r="E57" s="3">
        <f>+B57+C57+D57</f>
        <v>288924</v>
      </c>
    </row>
    <row r="58" spans="1:5" ht="14.25">
      <c r="A58" s="4" t="s">
        <v>105</v>
      </c>
      <c r="B58" s="5">
        <v>722382</v>
      </c>
      <c r="C58" s="6">
        <v>5000</v>
      </c>
      <c r="D58" s="6">
        <f>(305269+272349)*1.14</f>
        <v>658484.5199999999</v>
      </c>
      <c r="E58" s="3">
        <f>+B58+C58+D58</f>
        <v>1385866.52</v>
      </c>
    </row>
    <row r="59" spans="1:5" ht="14.25">
      <c r="A59" s="4" t="s">
        <v>103</v>
      </c>
      <c r="B59" s="5">
        <v>552798</v>
      </c>
      <c r="C59" s="6">
        <v>2500</v>
      </c>
      <c r="D59" s="6">
        <f>(559857+570219)*1.14</f>
        <v>1288286.64</v>
      </c>
      <c r="E59" s="3">
        <f>+B59+C59+D59</f>
        <v>1843584.64</v>
      </c>
    </row>
    <row r="60" spans="1:5" ht="14.25">
      <c r="A60" s="4" t="s">
        <v>106</v>
      </c>
      <c r="B60" s="10"/>
      <c r="C60" s="11">
        <v>1000</v>
      </c>
      <c r="D60" s="11">
        <f>(12885+10868)*1.14</f>
        <v>27078.42</v>
      </c>
      <c r="E60" s="12">
        <f>+B60+C60+D60</f>
        <v>28078.42</v>
      </c>
    </row>
    <row r="61" spans="1:5" ht="14.25">
      <c r="A61" s="4" t="s">
        <v>107</v>
      </c>
      <c r="B61" s="14">
        <f>SUBTOTAL(9,B57:B60)</f>
        <v>1554505</v>
      </c>
      <c r="C61" s="14">
        <f>SUBTOTAL(9,C57:C60)</f>
        <v>18099</v>
      </c>
      <c r="D61" s="14">
        <f>SUBTOTAL(9,D57:D60)</f>
        <v>1973849.5799999996</v>
      </c>
      <c r="E61" s="14">
        <f>SUBTOTAL(9,E57:E60)</f>
        <v>3546453.58</v>
      </c>
    </row>
    <row r="62" spans="1:5" ht="14.25">
      <c r="A62" s="4"/>
      <c r="B62" s="5"/>
      <c r="C62" s="6"/>
      <c r="D62" s="6"/>
      <c r="E62" s="3"/>
    </row>
    <row r="63" spans="1:5" ht="15">
      <c r="A63" s="27" t="s">
        <v>108</v>
      </c>
      <c r="B63" s="5">
        <v>364543</v>
      </c>
      <c r="C63" s="6">
        <v>16081</v>
      </c>
      <c r="D63" s="6"/>
      <c r="E63" s="3">
        <f aca="true" t="shared" si="3" ref="E63:E71">+B63+C63+D63</f>
        <v>380624</v>
      </c>
    </row>
    <row r="64" spans="1:5" ht="14.25">
      <c r="A64" s="4" t="s">
        <v>109</v>
      </c>
      <c r="B64" s="5">
        <v>849260</v>
      </c>
      <c r="C64" s="6">
        <v>29533</v>
      </c>
      <c r="D64" s="6">
        <f>(246493+229624)*1.14</f>
        <v>542773.38</v>
      </c>
      <c r="E64" s="3">
        <f t="shared" si="3"/>
        <v>1421566.38</v>
      </c>
    </row>
    <row r="65" spans="1:5" ht="14.25">
      <c r="A65" s="4" t="s">
        <v>110</v>
      </c>
      <c r="B65" s="5">
        <v>423644</v>
      </c>
      <c r="C65" s="6">
        <v>6820</v>
      </c>
      <c r="D65" s="6">
        <f>(72104+107230)*1.14</f>
        <v>204440.75999999998</v>
      </c>
      <c r="E65" s="3">
        <f t="shared" si="3"/>
        <v>634904.76</v>
      </c>
    </row>
    <row r="66" spans="1:5" ht="14.25">
      <c r="A66" s="4" t="s">
        <v>111</v>
      </c>
      <c r="B66" s="5">
        <v>3707412</v>
      </c>
      <c r="C66" s="6">
        <v>12100</v>
      </c>
      <c r="D66" s="6">
        <f>(1048803+968359)*1.14</f>
        <v>2299564.6799999997</v>
      </c>
      <c r="E66" s="3">
        <f t="shared" si="3"/>
        <v>6019076.68</v>
      </c>
    </row>
    <row r="67" spans="1:5" ht="14.25">
      <c r="A67" s="4" t="s">
        <v>112</v>
      </c>
      <c r="B67" s="5"/>
      <c r="C67" s="6">
        <v>0</v>
      </c>
      <c r="D67" s="6"/>
      <c r="E67" s="3">
        <f t="shared" si="3"/>
        <v>0</v>
      </c>
    </row>
    <row r="68" spans="1:5" ht="14.25">
      <c r="A68" s="4" t="s">
        <v>113</v>
      </c>
      <c r="B68" s="5"/>
      <c r="C68" s="6">
        <v>9072</v>
      </c>
      <c r="D68" s="6"/>
      <c r="E68" s="3">
        <f t="shared" si="3"/>
        <v>9072</v>
      </c>
    </row>
    <row r="69" spans="1:5" ht="14.25">
      <c r="A69" s="4" t="s">
        <v>114</v>
      </c>
      <c r="B69" s="5">
        <v>256680</v>
      </c>
      <c r="C69" s="6">
        <v>7550</v>
      </c>
      <c r="D69" s="6">
        <f>(24738+19171)*1.14</f>
        <v>50056.259999999995</v>
      </c>
      <c r="E69" s="3">
        <f t="shared" si="3"/>
        <v>314286.26</v>
      </c>
    </row>
    <row r="70" spans="1:5" ht="14.25">
      <c r="A70" s="4" t="s">
        <v>115</v>
      </c>
      <c r="B70" s="5">
        <v>187028</v>
      </c>
      <c r="C70" s="6">
        <v>400</v>
      </c>
      <c r="D70" s="6">
        <f>(50819+53260)*1.14</f>
        <v>118650.05999999998</v>
      </c>
      <c r="E70" s="3">
        <f t="shared" si="3"/>
        <v>306078.06</v>
      </c>
    </row>
    <row r="71" spans="1:5" ht="14.25">
      <c r="A71" s="4" t="s">
        <v>116</v>
      </c>
      <c r="B71" s="5">
        <v>37401</v>
      </c>
      <c r="C71" s="6">
        <v>400</v>
      </c>
      <c r="D71" s="6">
        <f>(27786+44379)*1.14</f>
        <v>82268.09999999999</v>
      </c>
      <c r="E71" s="3">
        <f t="shared" si="3"/>
        <v>120069.09999999999</v>
      </c>
    </row>
    <row r="72" spans="1:5" ht="14.25">
      <c r="A72" s="4" t="s">
        <v>117</v>
      </c>
      <c r="B72" s="10">
        <v>125583</v>
      </c>
      <c r="C72" s="11">
        <v>400</v>
      </c>
      <c r="D72" s="11">
        <f>12684*1.14</f>
        <v>14459.759999999998</v>
      </c>
      <c r="E72" s="12">
        <f>+B72+C72+D72</f>
        <v>140442.76</v>
      </c>
    </row>
    <row r="73" spans="1:5" ht="14.25">
      <c r="A73" s="4"/>
      <c r="B73" s="14">
        <f>SUBTOTAL(9,B63:B72)</f>
        <v>5951551</v>
      </c>
      <c r="C73" s="14">
        <f>SUBTOTAL(9,C63:C72)</f>
        <v>82356</v>
      </c>
      <c r="D73" s="14">
        <f>SUBTOTAL(9,D63:D72)</f>
        <v>3312212.9999999995</v>
      </c>
      <c r="E73" s="14">
        <f>SUBTOTAL(9,E63:E72)</f>
        <v>9346120</v>
      </c>
    </row>
    <row r="74" spans="1:5" ht="14.25">
      <c r="A74" s="4"/>
      <c r="B74" s="5"/>
      <c r="C74" s="6"/>
      <c r="D74" s="6"/>
      <c r="E74" s="3"/>
    </row>
    <row r="75" spans="1:5" ht="15">
      <c r="A75" s="27" t="s">
        <v>118</v>
      </c>
      <c r="B75" s="5">
        <v>281176</v>
      </c>
      <c r="C75" s="6">
        <v>25340</v>
      </c>
      <c r="D75" s="6"/>
      <c r="E75" s="3">
        <f>+B75+C75+D75</f>
        <v>306516</v>
      </c>
    </row>
    <row r="76" spans="1:5" ht="14.25">
      <c r="A76" s="4" t="s">
        <v>119</v>
      </c>
      <c r="B76" s="10">
        <v>1823174</v>
      </c>
      <c r="C76" s="11">
        <v>25414</v>
      </c>
      <c r="D76" s="11">
        <f>(287371+266039)*1.14</f>
        <v>630887.3999999999</v>
      </c>
      <c r="E76" s="12">
        <f>+B76+C76+D76</f>
        <v>2479475.4</v>
      </c>
    </row>
    <row r="77" spans="1:5" ht="14.25">
      <c r="A77" s="4" t="s">
        <v>120</v>
      </c>
      <c r="B77" s="6">
        <f>SUBTOTAL(9,B75:B76)</f>
        <v>2104350</v>
      </c>
      <c r="C77" s="6">
        <f>SUBTOTAL(9,C75:C76)</f>
        <v>50754</v>
      </c>
      <c r="D77" s="6">
        <f>SUBTOTAL(9,D75:D76)</f>
        <v>630887.3999999999</v>
      </c>
      <c r="E77" s="3">
        <f>SUBTOTAL(9,E75:E76)</f>
        <v>2785991.4</v>
      </c>
    </row>
    <row r="78" spans="1:5" ht="14.25">
      <c r="A78" s="4"/>
      <c r="B78" s="5"/>
      <c r="C78" s="6"/>
      <c r="D78" s="6"/>
      <c r="E78" s="3"/>
    </row>
    <row r="79" spans="1:5" ht="14.25">
      <c r="A79" s="4" t="s">
        <v>121</v>
      </c>
      <c r="B79" s="5">
        <v>274559</v>
      </c>
      <c r="C79" s="6">
        <v>28660</v>
      </c>
      <c r="D79" s="6"/>
      <c r="E79" s="3">
        <f aca="true" t="shared" si="4" ref="E79:E95">+B79+C79+D79</f>
        <v>303219</v>
      </c>
    </row>
    <row r="80" spans="1:5" ht="14.25">
      <c r="A80" s="4" t="s">
        <v>122</v>
      </c>
      <c r="B80" s="5">
        <v>77310</v>
      </c>
      <c r="C80" s="6">
        <v>4940</v>
      </c>
      <c r="D80" s="6">
        <f>(12070+1673)*1.14</f>
        <v>15667.019999999999</v>
      </c>
      <c r="E80" s="3">
        <f t="shared" si="4"/>
        <v>97917.02</v>
      </c>
    </row>
    <row r="81" spans="1:5" ht="14.25">
      <c r="A81" s="4" t="s">
        <v>123</v>
      </c>
      <c r="B81" s="5"/>
      <c r="C81" s="6">
        <v>5230</v>
      </c>
      <c r="D81" s="6"/>
      <c r="E81" s="3">
        <f t="shared" si="4"/>
        <v>5230</v>
      </c>
    </row>
    <row r="82" spans="1:5" ht="14.25">
      <c r="A82" s="4" t="s">
        <v>124</v>
      </c>
      <c r="B82" s="5"/>
      <c r="C82" s="6">
        <v>5050</v>
      </c>
      <c r="D82" s="6"/>
      <c r="E82" s="3">
        <f t="shared" si="4"/>
        <v>5050</v>
      </c>
    </row>
    <row r="83" spans="1:5" ht="14.25">
      <c r="A83" s="4" t="s">
        <v>125</v>
      </c>
      <c r="B83" s="5"/>
      <c r="C83" s="6">
        <v>6520</v>
      </c>
      <c r="D83" s="6"/>
      <c r="E83" s="3">
        <f t="shared" si="4"/>
        <v>6520</v>
      </c>
    </row>
    <row r="84" spans="1:5" ht="14.25">
      <c r="A84" s="4" t="s">
        <v>126</v>
      </c>
      <c r="B84" s="5"/>
      <c r="C84" s="6">
        <v>19471</v>
      </c>
      <c r="D84" s="6">
        <f>12823*1.14</f>
        <v>14618.22</v>
      </c>
      <c r="E84" s="3">
        <f t="shared" si="4"/>
        <v>34089.22</v>
      </c>
    </row>
    <row r="85" spans="1:5" ht="14.25">
      <c r="A85" s="4" t="s">
        <v>127</v>
      </c>
      <c r="B85" s="5"/>
      <c r="C85" s="6">
        <v>650</v>
      </c>
      <c r="D85" s="6"/>
      <c r="E85" s="3">
        <f t="shared" si="4"/>
        <v>650</v>
      </c>
    </row>
    <row r="86" spans="1:5" ht="14.25">
      <c r="A86" s="4" t="s">
        <v>128</v>
      </c>
      <c r="B86" s="5"/>
      <c r="C86" s="6">
        <v>650</v>
      </c>
      <c r="D86" s="6">
        <f>(3503+11892)*1.14</f>
        <v>17550.3</v>
      </c>
      <c r="E86" s="3">
        <f t="shared" si="4"/>
        <v>18200.3</v>
      </c>
    </row>
    <row r="87" spans="1:5" ht="14.25">
      <c r="A87" s="4" t="s">
        <v>129</v>
      </c>
      <c r="B87" s="5"/>
      <c r="C87" s="6">
        <v>650</v>
      </c>
      <c r="D87" s="6">
        <f>13002*1.14</f>
        <v>14822.279999999999</v>
      </c>
      <c r="E87" s="3">
        <f t="shared" si="4"/>
        <v>15472.279999999999</v>
      </c>
    </row>
    <row r="88" spans="1:5" ht="14.25">
      <c r="A88" s="4" t="s">
        <v>130</v>
      </c>
      <c r="B88" s="5"/>
      <c r="C88" s="6">
        <v>650</v>
      </c>
      <c r="D88" s="6">
        <f>(4095+23661)*1.14</f>
        <v>31641.839999999997</v>
      </c>
      <c r="E88" s="3">
        <f t="shared" si="4"/>
        <v>32291.839999999997</v>
      </c>
    </row>
    <row r="89" spans="1:5" ht="14.25">
      <c r="A89" s="4" t="s">
        <v>131</v>
      </c>
      <c r="B89" s="5"/>
      <c r="C89" s="6">
        <v>650</v>
      </c>
      <c r="D89" s="6"/>
      <c r="E89" s="3">
        <f t="shared" si="4"/>
        <v>650</v>
      </c>
    </row>
    <row r="90" spans="1:5" ht="14.25">
      <c r="A90" s="4" t="s">
        <v>132</v>
      </c>
      <c r="B90" s="5"/>
      <c r="C90" s="6">
        <v>3700</v>
      </c>
      <c r="D90" s="6"/>
      <c r="E90" s="3">
        <f t="shared" si="4"/>
        <v>3700</v>
      </c>
    </row>
    <row r="91" spans="1:5" ht="14.25">
      <c r="A91" s="4" t="s">
        <v>133</v>
      </c>
      <c r="B91" s="5"/>
      <c r="C91" s="6">
        <v>650</v>
      </c>
      <c r="D91" s="6"/>
      <c r="E91" s="3">
        <f t="shared" si="4"/>
        <v>650</v>
      </c>
    </row>
    <row r="92" spans="1:5" ht="14.25">
      <c r="A92" s="4" t="s">
        <v>134</v>
      </c>
      <c r="B92" s="5"/>
      <c r="C92" s="6">
        <v>1300</v>
      </c>
      <c r="D92" s="6"/>
      <c r="E92" s="3">
        <f t="shared" si="4"/>
        <v>1300</v>
      </c>
    </row>
    <row r="93" spans="1:5" ht="14.25">
      <c r="A93" s="4" t="s">
        <v>135</v>
      </c>
      <c r="B93" s="5"/>
      <c r="C93" s="6">
        <v>1300</v>
      </c>
      <c r="D93" s="6"/>
      <c r="E93" s="3">
        <f t="shared" si="4"/>
        <v>1300</v>
      </c>
    </row>
    <row r="94" spans="1:5" ht="14.25">
      <c r="A94" s="4" t="s">
        <v>136</v>
      </c>
      <c r="B94" s="5"/>
      <c r="C94" s="6">
        <v>3415</v>
      </c>
      <c r="D94" s="6"/>
      <c r="E94" s="3">
        <f t="shared" si="4"/>
        <v>3415</v>
      </c>
    </row>
    <row r="95" spans="1:5" ht="14.25">
      <c r="A95" s="4" t="s">
        <v>137</v>
      </c>
      <c r="B95" s="10"/>
      <c r="C95" s="11">
        <v>4940</v>
      </c>
      <c r="D95" s="11"/>
      <c r="E95" s="12">
        <f t="shared" si="4"/>
        <v>4940</v>
      </c>
    </row>
    <row r="96" spans="1:5" ht="14.25">
      <c r="A96" s="4" t="s">
        <v>138</v>
      </c>
      <c r="B96" s="6">
        <f>SUBTOTAL(9,B79:B95)</f>
        <v>351869</v>
      </c>
      <c r="C96" s="6">
        <f>SUBTOTAL(9,C79:C95)</f>
        <v>88426</v>
      </c>
      <c r="D96" s="6">
        <f>SUBTOTAL(9,D79:D95)</f>
        <v>94299.65999999999</v>
      </c>
      <c r="E96" s="6">
        <f>SUBTOTAL(9,E79:E95)</f>
        <v>534594.6599999999</v>
      </c>
    </row>
    <row r="97" spans="1:5" ht="14.25">
      <c r="A97" s="4" t="s">
        <v>0</v>
      </c>
      <c r="B97" s="15">
        <f>B96+B77</f>
        <v>2456219</v>
      </c>
      <c r="C97" s="15">
        <f>C96+C77</f>
        <v>139180</v>
      </c>
      <c r="D97" s="15">
        <f>D96+D77</f>
        <v>725187.0599999999</v>
      </c>
      <c r="E97" s="15">
        <f>E96+E77</f>
        <v>3320586.0599999996</v>
      </c>
    </row>
    <row r="98" spans="1:5" s="30" customFormat="1" ht="14.25">
      <c r="A98" s="28"/>
      <c r="B98" s="29"/>
      <c r="C98" s="29"/>
      <c r="D98" s="29"/>
      <c r="E98" s="29"/>
    </row>
    <row r="99" spans="1:5" s="30" customFormat="1" ht="14.25">
      <c r="A99" s="28"/>
      <c r="B99" s="29"/>
      <c r="C99" s="29"/>
      <c r="D99" s="29"/>
      <c r="E99" s="29"/>
    </row>
    <row r="100" spans="1:5" ht="15">
      <c r="A100" s="27" t="s">
        <v>1</v>
      </c>
      <c r="B100" s="5"/>
      <c r="C100" s="6">
        <v>2015</v>
      </c>
      <c r="D100" s="6"/>
      <c r="E100" s="3">
        <f aca="true" t="shared" si="5" ref="E100:E111">+B100+C100+D100</f>
        <v>2015</v>
      </c>
    </row>
    <row r="101" spans="1:5" ht="14.25">
      <c r="A101" s="4" t="s">
        <v>2</v>
      </c>
      <c r="B101" s="5">
        <v>274638</v>
      </c>
      <c r="C101" s="6">
        <v>12897</v>
      </c>
      <c r="D101" s="6">
        <f>(59563+77978)*1.14</f>
        <v>156796.74</v>
      </c>
      <c r="E101" s="3">
        <f t="shared" si="5"/>
        <v>444331.74</v>
      </c>
    </row>
    <row r="102" spans="1:5" ht="14.25">
      <c r="A102" s="4" t="s">
        <v>3</v>
      </c>
      <c r="B102" s="5">
        <v>925060</v>
      </c>
      <c r="C102" s="8">
        <v>31646</v>
      </c>
      <c r="D102" s="8">
        <f>(71062+82449)*1.14</f>
        <v>175002.53999999998</v>
      </c>
      <c r="E102" s="3">
        <f t="shared" si="5"/>
        <v>1131708.54</v>
      </c>
    </row>
    <row r="103" spans="1:5" ht="14.25">
      <c r="A103" s="4"/>
      <c r="B103" s="5"/>
      <c r="C103" s="8"/>
      <c r="D103" s="8"/>
      <c r="E103" s="3"/>
    </row>
    <row r="104" spans="1:5" ht="15">
      <c r="A104" s="27" t="s">
        <v>4</v>
      </c>
      <c r="B104" s="5">
        <v>288509</v>
      </c>
      <c r="C104" s="6">
        <v>10170</v>
      </c>
      <c r="D104" s="6"/>
      <c r="E104" s="3">
        <f t="shared" si="5"/>
        <v>298679</v>
      </c>
    </row>
    <row r="105" spans="1:5" ht="14.25">
      <c r="A105" s="4" t="s">
        <v>5</v>
      </c>
      <c r="B105" s="5">
        <v>1383551</v>
      </c>
      <c r="C105" s="6">
        <v>56602</v>
      </c>
      <c r="D105" s="6">
        <f>(219587+233211)*1.14</f>
        <v>516189.72</v>
      </c>
      <c r="E105" s="3">
        <f t="shared" si="5"/>
        <v>1956342.72</v>
      </c>
    </row>
    <row r="106" spans="1:5" ht="14.25">
      <c r="A106" s="4" t="s">
        <v>6</v>
      </c>
      <c r="B106" s="5">
        <v>175543</v>
      </c>
      <c r="C106" s="6">
        <v>10000</v>
      </c>
      <c r="D106" s="6">
        <f>(74240+77090)*1.14</f>
        <v>172516.19999999998</v>
      </c>
      <c r="E106" s="3">
        <f t="shared" si="5"/>
        <v>358059.19999999995</v>
      </c>
    </row>
    <row r="107" spans="1:5" ht="14.25">
      <c r="A107" s="4" t="s">
        <v>7</v>
      </c>
      <c r="B107" s="5">
        <v>1227617</v>
      </c>
      <c r="C107" s="6">
        <v>9795</v>
      </c>
      <c r="D107" s="6">
        <f>(102897+129324)*1.14</f>
        <v>264731.94</v>
      </c>
      <c r="E107" s="3">
        <f t="shared" si="5"/>
        <v>1502143.94</v>
      </c>
    </row>
    <row r="108" spans="1:5" ht="14.25">
      <c r="A108" s="4" t="s">
        <v>8</v>
      </c>
      <c r="B108" s="5">
        <v>498500</v>
      </c>
      <c r="C108" s="6">
        <v>4675</v>
      </c>
      <c r="D108" s="6">
        <f>(171385+191118)*1.14</f>
        <v>413253.42</v>
      </c>
      <c r="E108" s="3">
        <f t="shared" si="5"/>
        <v>916428.4199999999</v>
      </c>
    </row>
    <row r="109" spans="1:5" ht="14.25">
      <c r="A109" s="4" t="s">
        <v>9</v>
      </c>
      <c r="B109" s="5"/>
      <c r="C109" s="8">
        <v>1000</v>
      </c>
      <c r="D109" s="8">
        <f>45033*1.14</f>
        <v>51337.619999999995</v>
      </c>
      <c r="E109" s="3">
        <f t="shared" si="5"/>
        <v>52337.619999999995</v>
      </c>
    </row>
    <row r="110" spans="1:5" ht="14.25">
      <c r="A110" s="4" t="s">
        <v>10</v>
      </c>
      <c r="B110" s="5"/>
      <c r="C110" s="6">
        <v>0</v>
      </c>
      <c r="D110" s="6"/>
      <c r="E110" s="3">
        <f t="shared" si="5"/>
        <v>0</v>
      </c>
    </row>
    <row r="111" spans="1:5" ht="14.25">
      <c r="A111" s="4" t="s">
        <v>10</v>
      </c>
      <c r="B111" s="5">
        <v>118545</v>
      </c>
      <c r="C111" s="6"/>
      <c r="D111" s="6"/>
      <c r="E111" s="3">
        <f t="shared" si="5"/>
        <v>118545</v>
      </c>
    </row>
    <row r="112" spans="1:5" ht="14.25">
      <c r="A112" s="4" t="s">
        <v>11</v>
      </c>
      <c r="B112" s="10">
        <v>111187</v>
      </c>
      <c r="C112" s="11"/>
      <c r="D112" s="11">
        <f>(28174+27995)*1.14</f>
        <v>64032.659999999996</v>
      </c>
      <c r="E112" s="12">
        <f>+B112+C112+D112</f>
        <v>175219.66</v>
      </c>
    </row>
    <row r="113" spans="1:5" ht="14.25">
      <c r="A113" s="4"/>
      <c r="B113" s="6">
        <f>SUBTOTAL(9,B100:B112)</f>
        <v>5003150</v>
      </c>
      <c r="C113" s="6">
        <f>SUBTOTAL(9,C100:C112)</f>
        <v>138800</v>
      </c>
      <c r="D113" s="6">
        <f>SUBTOTAL(9,D100:D112)</f>
        <v>1813860.8399999996</v>
      </c>
      <c r="E113" s="3">
        <f>SUBTOTAL(9,E100:E112)</f>
        <v>6955810.840000001</v>
      </c>
    </row>
    <row r="114" spans="1:5" ht="14.25">
      <c r="A114" s="4"/>
      <c r="B114" s="5"/>
      <c r="C114" s="6"/>
      <c r="D114" s="6"/>
      <c r="E114" s="3"/>
    </row>
    <row r="115" spans="1:5" ht="14.25">
      <c r="A115" s="4"/>
      <c r="B115" s="5"/>
      <c r="C115" s="6"/>
      <c r="D115" s="6"/>
      <c r="E115" s="3"/>
    </row>
    <row r="116" spans="1:5" ht="15">
      <c r="A116" s="27" t="s">
        <v>12</v>
      </c>
      <c r="B116" s="5">
        <v>241553</v>
      </c>
      <c r="C116" s="9">
        <v>14203</v>
      </c>
      <c r="D116" s="9"/>
      <c r="E116" s="3">
        <f aca="true" t="shared" si="6" ref="E116:E124">+B116+C116+D116</f>
        <v>255756</v>
      </c>
    </row>
    <row r="117" spans="1:5" ht="14.25">
      <c r="A117" s="4" t="s">
        <v>13</v>
      </c>
      <c r="B117" s="5"/>
      <c r="C117" s="6">
        <v>0</v>
      </c>
      <c r="D117" s="6"/>
      <c r="E117" s="3">
        <f t="shared" si="6"/>
        <v>0</v>
      </c>
    </row>
    <row r="118" spans="1:5" ht="14.25">
      <c r="A118" s="4" t="s">
        <v>14</v>
      </c>
      <c r="B118" s="5"/>
      <c r="C118" s="6"/>
      <c r="D118" s="6">
        <f>(54168+83007)*1.14</f>
        <v>156379.5</v>
      </c>
      <c r="E118" s="3">
        <f t="shared" si="6"/>
        <v>156379.5</v>
      </c>
    </row>
    <row r="119" spans="1:5" ht="14.25">
      <c r="A119" s="4" t="s">
        <v>15</v>
      </c>
      <c r="B119" s="5">
        <v>1567527</v>
      </c>
      <c r="C119" s="6">
        <v>1959</v>
      </c>
      <c r="D119" s="6">
        <f>(533543+474068)*1.14</f>
        <v>1148676.5399999998</v>
      </c>
      <c r="E119" s="3">
        <f t="shared" si="6"/>
        <v>2718162.54</v>
      </c>
    </row>
    <row r="120" spans="1:5" ht="14.25">
      <c r="A120" s="4" t="s">
        <v>16</v>
      </c>
      <c r="B120" s="5">
        <v>700539</v>
      </c>
      <c r="C120" s="6">
        <v>2500</v>
      </c>
      <c r="D120" s="6">
        <f>(300097+328429)*1.14</f>
        <v>716519.6399999999</v>
      </c>
      <c r="E120" s="3">
        <f t="shared" si="6"/>
        <v>1419558.64</v>
      </c>
    </row>
    <row r="121" spans="2:5" ht="14.25">
      <c r="B121" s="5">
        <v>3567241</v>
      </c>
      <c r="C121" s="6">
        <v>1507</v>
      </c>
      <c r="D121" s="6">
        <f>(969251+944557)*1.14</f>
        <v>2181741.1199999996</v>
      </c>
      <c r="E121" s="3">
        <f t="shared" si="6"/>
        <v>5750489.119999999</v>
      </c>
    </row>
    <row r="122" spans="1:5" ht="14.25">
      <c r="A122" s="4" t="s">
        <v>17</v>
      </c>
      <c r="B122" s="5"/>
      <c r="C122" s="6">
        <v>1000</v>
      </c>
      <c r="D122" s="6"/>
      <c r="E122" s="3">
        <f t="shared" si="6"/>
        <v>1000</v>
      </c>
    </row>
    <row r="123" spans="1:5" ht="14.25">
      <c r="A123" s="4" t="s">
        <v>18</v>
      </c>
      <c r="B123" s="5"/>
      <c r="C123" s="6">
        <v>5000</v>
      </c>
      <c r="D123" s="6"/>
      <c r="E123" s="3">
        <f t="shared" si="6"/>
        <v>5000</v>
      </c>
    </row>
    <row r="124" spans="1:5" ht="14.25">
      <c r="A124" s="4" t="s">
        <v>19</v>
      </c>
      <c r="B124" s="5">
        <v>125583</v>
      </c>
      <c r="C124" s="6">
        <v>7508</v>
      </c>
      <c r="D124" s="6"/>
      <c r="E124" s="3">
        <f t="shared" si="6"/>
        <v>133091</v>
      </c>
    </row>
    <row r="125" spans="1:5" ht="14.25">
      <c r="A125" s="4" t="s">
        <v>20</v>
      </c>
      <c r="B125" s="7">
        <f>549049</f>
        <v>549049</v>
      </c>
      <c r="C125" s="8">
        <v>500</v>
      </c>
      <c r="D125" s="8">
        <f>(151226+147626)*1.14</f>
        <v>340691.27999999997</v>
      </c>
      <c r="E125" s="9">
        <f>+B125+C125+D125</f>
        <v>890240.28</v>
      </c>
    </row>
    <row r="126" spans="1:5" ht="14.25">
      <c r="A126" s="4" t="s">
        <v>21</v>
      </c>
      <c r="B126" s="7"/>
      <c r="C126" s="8"/>
      <c r="D126" s="8">
        <f>(4206+15893)*1.14</f>
        <v>22912.859999999997</v>
      </c>
      <c r="E126" s="9">
        <f>+B126+C126+D126</f>
        <v>22912.859999999997</v>
      </c>
    </row>
    <row r="127" spans="1:5" ht="14.25">
      <c r="A127" s="4" t="s">
        <v>22</v>
      </c>
      <c r="B127" s="7">
        <v>109969</v>
      </c>
      <c r="C127" s="7"/>
      <c r="D127" s="8">
        <f>(40902+41666)*1.14</f>
        <v>94127.51999999999</v>
      </c>
      <c r="E127" s="7">
        <f>+B127+C127+D127</f>
        <v>204096.52</v>
      </c>
    </row>
    <row r="128" spans="1:5" ht="14.25">
      <c r="A128" s="4" t="s">
        <v>23</v>
      </c>
      <c r="B128" s="10">
        <v>83879</v>
      </c>
      <c r="C128" s="11"/>
      <c r="D128" s="11"/>
      <c r="E128" s="12">
        <f>+B128+C128+D128</f>
        <v>83879</v>
      </c>
    </row>
    <row r="129" spans="1:5" ht="14.25">
      <c r="A129" s="16"/>
      <c r="B129" s="6">
        <f>SUM(B116:B128)</f>
        <v>6945340</v>
      </c>
      <c r="C129" s="6">
        <f>SUM(C116:C127)</f>
        <v>34177</v>
      </c>
      <c r="D129" s="6">
        <f>SUM(D116:D127)</f>
        <v>4661048.459999999</v>
      </c>
      <c r="E129" s="3">
        <f>SUM(E116:E127)</f>
        <v>11556686.459999997</v>
      </c>
    </row>
    <row r="130" spans="1:5" ht="14.25">
      <c r="A130" s="17"/>
      <c r="B130" s="6"/>
      <c r="C130" s="6"/>
      <c r="D130" s="6"/>
      <c r="E130" s="6"/>
    </row>
    <row r="131" spans="1:5" ht="14.25">
      <c r="A131" s="4" t="s">
        <v>21</v>
      </c>
      <c r="B131" s="5"/>
      <c r="C131" s="6">
        <v>5288</v>
      </c>
      <c r="D131" s="6"/>
      <c r="E131" s="3">
        <f>+B131+C131+D131</f>
        <v>5288</v>
      </c>
    </row>
    <row r="132" spans="1:5" ht="14.25">
      <c r="A132" s="4" t="s">
        <v>24</v>
      </c>
      <c r="B132" s="10"/>
      <c r="C132" s="11">
        <v>4152</v>
      </c>
      <c r="D132" s="11"/>
      <c r="E132" s="12">
        <f>+B132+C132+D132</f>
        <v>4152</v>
      </c>
    </row>
    <row r="133" spans="1:5" ht="14.25">
      <c r="A133" s="4"/>
      <c r="B133" s="6">
        <f>SUM(B131:B132)</f>
        <v>0</v>
      </c>
      <c r="C133" s="6">
        <f>SUM(C131:C132)</f>
        <v>9440</v>
      </c>
      <c r="D133" s="6">
        <f>SUM(D131:D132)</f>
        <v>0</v>
      </c>
      <c r="E133" s="3">
        <f>SUM(E131:E132)</f>
        <v>9440</v>
      </c>
    </row>
    <row r="134" spans="1:5" ht="14.25">
      <c r="A134" s="4" t="s">
        <v>25</v>
      </c>
      <c r="B134" s="15">
        <f>B133+B129</f>
        <v>6945340</v>
      </c>
      <c r="C134" s="15">
        <f>C133+C129</f>
        <v>43617</v>
      </c>
      <c r="D134" s="15">
        <f>D133+D129</f>
        <v>4661048.459999999</v>
      </c>
      <c r="E134" s="15">
        <f>E133+E129</f>
        <v>11566126.459999997</v>
      </c>
    </row>
    <row r="135" spans="1:5" ht="14.25">
      <c r="A135" s="4"/>
      <c r="B135" s="5"/>
      <c r="C135" s="6"/>
      <c r="D135" s="6"/>
      <c r="E135" s="3"/>
    </row>
    <row r="136" spans="1:5" ht="15">
      <c r="A136" s="27" t="s">
        <v>26</v>
      </c>
      <c r="B136" s="5">
        <v>1587729</v>
      </c>
      <c r="C136" s="5">
        <v>135786</v>
      </c>
      <c r="D136" s="5"/>
      <c r="E136" s="5">
        <f aca="true" t="shared" si="7" ref="E136:E142">+B136+C136+D136</f>
        <v>1723515</v>
      </c>
    </row>
    <row r="137" spans="1:5" ht="14.25">
      <c r="A137" s="1" t="s">
        <v>27</v>
      </c>
      <c r="B137" s="5">
        <v>408633</v>
      </c>
      <c r="C137" s="5">
        <v>41655</v>
      </c>
      <c r="D137" s="4"/>
      <c r="E137" s="5">
        <f t="shared" si="7"/>
        <v>450288</v>
      </c>
    </row>
    <row r="138" spans="1:5" ht="14.25">
      <c r="A138" s="4" t="s">
        <v>28</v>
      </c>
      <c r="B138" s="7">
        <v>108833</v>
      </c>
      <c r="C138" s="8"/>
      <c r="D138" s="8"/>
      <c r="E138" s="9">
        <f t="shared" si="7"/>
        <v>108833</v>
      </c>
    </row>
    <row r="139" spans="1:5" ht="14.25">
      <c r="A139" s="4" t="s">
        <v>29</v>
      </c>
      <c r="B139" s="5">
        <f>272152+119143</f>
        <v>391295</v>
      </c>
      <c r="C139" s="6">
        <v>60472</v>
      </c>
      <c r="D139" s="6">
        <f>(4695+8185)*1.14</f>
        <v>14683.199999999999</v>
      </c>
      <c r="E139" s="3">
        <f t="shared" si="7"/>
        <v>466450.2</v>
      </c>
    </row>
    <row r="140" spans="1:5" ht="14.25">
      <c r="A140" s="4" t="s">
        <v>30</v>
      </c>
      <c r="B140" s="5"/>
      <c r="C140" s="8">
        <v>9900</v>
      </c>
      <c r="D140" s="8"/>
      <c r="E140" s="3">
        <f t="shared" si="7"/>
        <v>9900</v>
      </c>
    </row>
    <row r="141" spans="1:5" ht="14.25">
      <c r="A141" s="4" t="s">
        <v>31</v>
      </c>
      <c r="B141" s="5">
        <v>0</v>
      </c>
      <c r="C141" s="8"/>
      <c r="D141" s="8"/>
      <c r="E141" s="3">
        <f t="shared" si="7"/>
        <v>0</v>
      </c>
    </row>
    <row r="142" spans="1:5" ht="14.25">
      <c r="A142" s="4" t="s">
        <v>32</v>
      </c>
      <c r="B142" s="10">
        <v>0</v>
      </c>
      <c r="C142" s="11"/>
      <c r="D142" s="11"/>
      <c r="E142" s="12">
        <f t="shared" si="7"/>
        <v>0</v>
      </c>
    </row>
    <row r="143" spans="1:5" ht="14.25">
      <c r="A143" s="4" t="s">
        <v>33</v>
      </c>
      <c r="B143" s="15">
        <f>SUM(B136:B142)</f>
        <v>2496490</v>
      </c>
      <c r="C143" s="15">
        <f>SUM(C136:C142)</f>
        <v>247813</v>
      </c>
      <c r="D143" s="15">
        <f>SUM(D136:D142)</f>
        <v>14683.199999999999</v>
      </c>
      <c r="E143" s="15">
        <f>SUM(E136:E142)</f>
        <v>2758986.2</v>
      </c>
    </row>
    <row r="144" spans="1:5" ht="14.25">
      <c r="A144" s="17"/>
      <c r="B144" s="6"/>
      <c r="C144" s="6"/>
      <c r="D144" s="6"/>
      <c r="E144" s="6"/>
    </row>
    <row r="145" spans="1:5" ht="14.25">
      <c r="A145" s="4"/>
      <c r="B145" s="5"/>
      <c r="C145" s="6"/>
      <c r="D145" s="6"/>
      <c r="E145" s="3"/>
    </row>
    <row r="146" spans="1:5" ht="15">
      <c r="A146" s="27" t="s">
        <v>34</v>
      </c>
      <c r="B146" s="5">
        <v>283039</v>
      </c>
      <c r="C146" s="6">
        <v>66859</v>
      </c>
      <c r="D146" s="6"/>
      <c r="E146" s="3">
        <f aca="true" t="shared" si="8" ref="E146:E162">+B146+C146+D146</f>
        <v>349898</v>
      </c>
    </row>
    <row r="147" spans="1:5" ht="14.25">
      <c r="A147" s="4" t="s">
        <v>35</v>
      </c>
      <c r="B147" s="5"/>
      <c r="C147" s="6">
        <v>0</v>
      </c>
      <c r="D147" s="6"/>
      <c r="E147" s="3">
        <f t="shared" si="8"/>
        <v>0</v>
      </c>
    </row>
    <row r="148" spans="1:5" ht="14.25">
      <c r="A148" s="4" t="s">
        <v>36</v>
      </c>
      <c r="B148" s="5"/>
      <c r="C148" s="6"/>
      <c r="D148" s="6">
        <f>(2902+21605)*1.14</f>
        <v>27937.979999999996</v>
      </c>
      <c r="E148" s="3">
        <f t="shared" si="8"/>
        <v>27937.979999999996</v>
      </c>
    </row>
    <row r="149" spans="1:5" ht="14.25">
      <c r="A149" s="4" t="s">
        <v>37</v>
      </c>
      <c r="B149" s="5">
        <v>318934</v>
      </c>
      <c r="C149" s="6"/>
      <c r="D149" s="6">
        <f>(163575+144611)*1.14</f>
        <v>351332.04</v>
      </c>
      <c r="E149" s="3">
        <f t="shared" si="8"/>
        <v>670266.04</v>
      </c>
    </row>
    <row r="150" spans="1:5" ht="14.25">
      <c r="A150" s="4" t="s">
        <v>38</v>
      </c>
      <c r="B150" s="5"/>
      <c r="C150" s="6"/>
      <c r="D150" s="6"/>
      <c r="E150" s="3">
        <f t="shared" si="8"/>
        <v>0</v>
      </c>
    </row>
    <row r="151" spans="1:5" ht="14.25">
      <c r="A151" s="4" t="s">
        <v>39</v>
      </c>
      <c r="B151" s="7">
        <v>94346</v>
      </c>
      <c r="C151" s="6"/>
      <c r="D151" s="6">
        <f>(42234+44222)*1.14</f>
        <v>98559.84</v>
      </c>
      <c r="E151" s="3">
        <f t="shared" si="8"/>
        <v>192905.84</v>
      </c>
    </row>
    <row r="152" spans="1:5" ht="14.25">
      <c r="A152" s="4" t="s">
        <v>40</v>
      </c>
      <c r="B152" s="5">
        <v>566268</v>
      </c>
      <c r="C152" s="6"/>
      <c r="D152" s="6">
        <f>(133736+177350)*1.14</f>
        <v>354638.04</v>
      </c>
      <c r="E152" s="3">
        <f t="shared" si="8"/>
        <v>920906.04</v>
      </c>
    </row>
    <row r="153" spans="1:5" ht="14.25">
      <c r="A153" s="4" t="s">
        <v>41</v>
      </c>
      <c r="B153" s="5">
        <v>364424</v>
      </c>
      <c r="C153" s="6"/>
      <c r="D153" s="6">
        <f>(201903+265852)*1.14</f>
        <v>533240.7</v>
      </c>
      <c r="E153" s="3">
        <f t="shared" si="8"/>
        <v>897664.7</v>
      </c>
    </row>
    <row r="154" spans="1:5" ht="14.25">
      <c r="A154" s="4" t="s">
        <v>42</v>
      </c>
      <c r="B154" s="5">
        <v>434605</v>
      </c>
      <c r="C154" s="6"/>
      <c r="D154" s="6">
        <f>(175485+158088)*1.14</f>
        <v>380273.22</v>
      </c>
      <c r="E154" s="3">
        <f t="shared" si="8"/>
        <v>814878.22</v>
      </c>
    </row>
    <row r="155" spans="1:5" ht="14.25">
      <c r="A155" s="4" t="s">
        <v>43</v>
      </c>
      <c r="B155" s="5">
        <v>196384</v>
      </c>
      <c r="C155" s="6"/>
      <c r="D155" s="6">
        <f>(79882+76782)*1.14</f>
        <v>178596.96</v>
      </c>
      <c r="E155" s="3">
        <f t="shared" si="8"/>
        <v>374980.95999999996</v>
      </c>
    </row>
    <row r="156" spans="1:5" ht="14.25">
      <c r="A156" s="4" t="s">
        <v>44</v>
      </c>
      <c r="B156" s="5">
        <v>398436</v>
      </c>
      <c r="C156" s="6"/>
      <c r="D156" s="6">
        <f>(118434+112074)*1.14</f>
        <v>262779.12</v>
      </c>
      <c r="E156" s="3">
        <f t="shared" si="8"/>
        <v>661215.12</v>
      </c>
    </row>
    <row r="157" spans="1:5" ht="14.25">
      <c r="A157" s="4" t="s">
        <v>45</v>
      </c>
      <c r="B157" s="5">
        <v>233359</v>
      </c>
      <c r="C157" s="6"/>
      <c r="D157" s="6">
        <f>(112896+102365)*1.14</f>
        <v>245397.53999999998</v>
      </c>
      <c r="E157" s="3">
        <f t="shared" si="8"/>
        <v>478756.54</v>
      </c>
    </row>
    <row r="158" spans="1:5" ht="14.25">
      <c r="A158" s="4" t="s">
        <v>46</v>
      </c>
      <c r="B158" s="5">
        <v>108447</v>
      </c>
      <c r="C158" s="6"/>
      <c r="D158" s="6">
        <f>(75542+115174)*1.14</f>
        <v>217416.24</v>
      </c>
      <c r="E158" s="3">
        <f t="shared" si="8"/>
        <v>325863.24</v>
      </c>
    </row>
    <row r="159" spans="1:5" ht="14.25">
      <c r="A159" s="4" t="s">
        <v>47</v>
      </c>
      <c r="B159" s="5"/>
      <c r="C159" s="6">
        <v>5500</v>
      </c>
      <c r="D159" s="6"/>
      <c r="E159" s="3">
        <f t="shared" si="8"/>
        <v>5500</v>
      </c>
    </row>
    <row r="160" spans="1:5" ht="14.25">
      <c r="A160" s="4" t="s">
        <v>48</v>
      </c>
      <c r="B160" s="5">
        <v>708960</v>
      </c>
      <c r="C160" s="6"/>
      <c r="D160" s="6">
        <f>(116392+111456)*1.14</f>
        <v>259746.71999999997</v>
      </c>
      <c r="E160" s="3">
        <f t="shared" si="8"/>
        <v>968706.72</v>
      </c>
    </row>
    <row r="161" spans="1:5" ht="14.25">
      <c r="A161" s="4" t="s">
        <v>49</v>
      </c>
      <c r="B161" s="5">
        <v>112215</v>
      </c>
      <c r="C161" s="6"/>
      <c r="D161" s="6">
        <f>(13987+38858)*1.14</f>
        <v>60243.299999999996</v>
      </c>
      <c r="E161" s="3">
        <f t="shared" si="8"/>
        <v>172458.3</v>
      </c>
    </row>
    <row r="162" spans="1:5" ht="14.25">
      <c r="A162" s="4" t="s">
        <v>50</v>
      </c>
      <c r="B162" s="5">
        <v>369818</v>
      </c>
      <c r="C162" s="6"/>
      <c r="D162" s="6">
        <f>(175834+196260)*1.14</f>
        <v>424187.16</v>
      </c>
      <c r="E162" s="3">
        <f t="shared" si="8"/>
        <v>794005.1599999999</v>
      </c>
    </row>
    <row r="163" spans="1:5" ht="14.25">
      <c r="A163" s="4" t="s">
        <v>51</v>
      </c>
      <c r="B163" s="10">
        <v>98272</v>
      </c>
      <c r="C163" s="11"/>
      <c r="D163" s="11">
        <f>(59037+106044)*1.14</f>
        <v>188192.34</v>
      </c>
      <c r="E163" s="12">
        <f>+B163+C163+D163</f>
        <v>286464.33999999997</v>
      </c>
    </row>
    <row r="164" spans="1:5" ht="14.25">
      <c r="A164" s="4" t="s">
        <v>52</v>
      </c>
      <c r="B164" s="15">
        <f>SUBTOTAL(9,B146:B163)</f>
        <v>4287507</v>
      </c>
      <c r="C164" s="15">
        <f>SUBTOTAL(9,C146:C163)</f>
        <v>72359</v>
      </c>
      <c r="D164" s="15">
        <f>SUBTOTAL(9,D146:D163)</f>
        <v>3582541.1999999993</v>
      </c>
      <c r="E164" s="15">
        <f>SUBTOTAL(9,E146:E163)</f>
        <v>7942407.2</v>
      </c>
    </row>
    <row r="165" spans="1:5" ht="14.25">
      <c r="A165" s="4"/>
      <c r="B165" s="5"/>
      <c r="C165" s="6"/>
      <c r="D165" s="6"/>
      <c r="E165" s="6"/>
    </row>
    <row r="166" spans="1:5" ht="14.25">
      <c r="A166" s="4"/>
      <c r="B166" s="5"/>
      <c r="C166" s="6"/>
      <c r="D166" s="6"/>
      <c r="E166" s="3"/>
    </row>
  </sheetData>
  <sheetProtection/>
  <printOptions/>
  <pageMargins left="0.5" right="0.5" top="0.7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</dc:creator>
  <cp:keywords/>
  <dc:description/>
  <cp:lastModifiedBy>leewheatcoleen</cp:lastModifiedBy>
  <dcterms:created xsi:type="dcterms:W3CDTF">2011-05-05T00:06:13Z</dcterms:created>
  <dcterms:modified xsi:type="dcterms:W3CDTF">2011-05-07T21:34:37Z</dcterms:modified>
  <cp:category/>
  <cp:version/>
  <cp:contentType/>
  <cp:contentStatus/>
</cp:coreProperties>
</file>